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colo Margine" sheetId="1" state="visible" r:id="rId1"/>
    <sheet xmlns:r="http://schemas.openxmlformats.org/officeDocument/2006/relationships" name="Analisi per Prodotto" sheetId="2" state="visible" r:id="rId2"/>
    <sheet xmlns:r="http://schemas.openxmlformats.org/officeDocument/2006/relationships" name="Simulazione What-If" sheetId="3" state="visible" r:id="rId3"/>
    <sheet xmlns:r="http://schemas.openxmlformats.org/officeDocument/2006/relationships" name="Parametri" sheetId="4" state="visible" r:id="rId4"/>
    <sheet xmlns:r="http://schemas.openxmlformats.org/officeDocument/2006/relationships" name="Istruzioni" sheetId="5" state="visible" r:id="rId5"/>
  </sheets>
  <definedNames>
    <definedName name="_xlnm.Print_Titles" localSheetId="0">'Calcolo Margine'!1:5</definedName>
    <definedName name="_xlnm.Print_Titles" localSheetId="1">'Analisi per Prodotto'!1:3</definedName>
    <definedName name="_xlnm.Print_Titles" localSheetId="2">'Simulazione What-If'!1:3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#.##0,00 €"/>
    <numFmt numFmtId="165" formatCode="0,00%"/>
    <numFmt numFmtId="166" formatCode="0,00x"/>
  </numFmts>
  <fonts count="17">
    <font>
      <name val="Calibri"/>
      <family val="2"/>
      <color theme="1"/>
      <sz val="11"/>
      <scheme val="minor"/>
    </font>
    <font>
      <name val="Calibri"/>
      <b val="1"/>
      <color rgb="00FFFFFF"/>
      <sz val="22"/>
    </font>
    <font>
      <name val="Calibri"/>
      <i val="1"/>
      <color rgb="0014B8A6"/>
      <sz val="10"/>
    </font>
    <font>
      <name val="Calibri"/>
      <color rgb="00CBD5E1"/>
      <sz val="9"/>
    </font>
    <font>
      <name val="Calibri"/>
      <b val="1"/>
      <color rgb="000F766E"/>
      <sz val="10"/>
    </font>
    <font>
      <name val="Calibri"/>
      <b val="1"/>
      <color rgb="00FFFFFF"/>
      <sz val="11"/>
    </font>
    <font>
      <name val="Calibri"/>
      <b val="1"/>
      <color rgb="00334155"/>
      <sz val="10"/>
    </font>
    <font>
      <name val="Calibri"/>
      <color rgb="00334155"/>
      <sz val="10"/>
    </font>
    <font>
      <name val="Calibri"/>
      <b val="1"/>
      <color rgb="00FFFFFF"/>
      <sz val="10"/>
    </font>
    <font>
      <name val="Calibri"/>
      <b val="1"/>
      <color rgb="00FFFFFF"/>
      <sz val="12"/>
    </font>
    <font>
      <name val="Calibri"/>
      <b val="1"/>
      <color rgb="000F766E"/>
      <sz val="11"/>
    </font>
    <font>
      <name val="Calibri"/>
      <i val="1"/>
      <color rgb="00334155"/>
      <sz val="9"/>
    </font>
    <font>
      <name val="Calibri"/>
      <b val="1"/>
      <color rgb="00FFFFFF"/>
      <sz val="16"/>
    </font>
    <font>
      <name val="Calibri"/>
      <b val="1"/>
      <color rgb="00FFFFFF"/>
      <sz val="15"/>
    </font>
    <font>
      <name val="Calibri"/>
      <b val="1"/>
      <color rgb="00334155"/>
      <sz val="11"/>
    </font>
    <font>
      <name val="Calibri"/>
      <b val="1"/>
      <color rgb="00FFFFFF"/>
      <sz val="14"/>
    </font>
    <font>
      <name val="Courier New"/>
      <color rgb="00334155"/>
      <sz val="9"/>
    </font>
  </fonts>
  <fills count="9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FFFFF"/>
      </patternFill>
    </fill>
    <fill>
      <patternFill patternType="solid">
        <fgColor rgb="00F0FDFA"/>
      </patternFill>
    </fill>
    <fill>
      <patternFill patternType="solid">
        <fgColor rgb="00FFFBEB"/>
      </patternFill>
    </fill>
    <fill>
      <patternFill patternType="solid">
        <fgColor rgb="00E0F2F1"/>
      </patternFill>
    </fill>
    <fill>
      <patternFill patternType="solid">
        <fgColor rgb="0014B8A6"/>
      </patternFill>
    </fill>
    <fill>
      <patternFill patternType="solid">
        <fgColor rgb="0022C55E"/>
      </patternFill>
    </fill>
  </fills>
  <borders count="7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/>
      <right/>
      <top style="thin">
        <color rgb="00CBD5E1"/>
      </top>
      <bottom/>
      <diagonal/>
    </border>
    <border>
      <left/>
      <right style="thin">
        <color rgb="00CBD5E1"/>
      </right>
      <top style="thin">
        <color rgb="00CBD5E1"/>
      </top>
      <bottom/>
      <diagonal/>
    </border>
    <border>
      <left/>
      <right/>
      <top style="thin">
        <color rgb="00CBD5E1"/>
      </top>
      <bottom style="thin">
        <color rgb="00CBD5E1"/>
      </bottom>
      <diagonal/>
    </border>
    <border>
      <left/>
      <right style="thin">
        <color rgb="00CBD5E1"/>
      </right>
      <top style="thin">
        <color rgb="00CBD5E1"/>
      </top>
      <bottom style="thin">
        <color rgb="00CBD5E1"/>
      </bottom>
      <diagonal/>
    </border>
    <border>
      <left style="medium">
        <color rgb="000F766E"/>
      </left>
      <right style="medium">
        <color rgb="000F766E"/>
      </right>
      <top style="medium">
        <color rgb="000F766E"/>
      </top>
      <bottom style="medium">
        <color rgb="000F766E"/>
      </bottom>
    </border>
  </borders>
  <cellStyleXfs count="1">
    <xf numFmtId="0" fontId="0" fillId="0" borderId="0"/>
  </cellStyleXfs>
  <cellXfs count="50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left" vertical="center" wrapText="1"/>
    </xf>
    <xf numFmtId="0" fontId="3" fillId="3" borderId="0" applyAlignment="1" pivotButton="0" quotePrefix="0" xfId="0">
      <alignment horizontal="right" vertical="center"/>
    </xf>
    <xf numFmtId="0" fontId="4" fillId="4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5" fillId="2" borderId="1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center" vertical="center" wrapText="1"/>
    </xf>
    <xf numFmtId="0" fontId="7" fillId="4" borderId="1" applyAlignment="1" pivotButton="0" quotePrefix="0" xfId="0">
      <alignment horizontal="left" vertical="center" wrapText="1"/>
    </xf>
    <xf numFmtId="164" fontId="7" fillId="5" borderId="1" applyAlignment="1" pivotButton="0" quotePrefix="0" xfId="0">
      <alignment horizontal="right" vertical="center"/>
    </xf>
    <xf numFmtId="165" fontId="6" fillId="6" borderId="1" applyAlignment="1" pivotButton="0" quotePrefix="0" xfId="0">
      <alignment horizontal="right" vertical="center"/>
    </xf>
    <xf numFmtId="0" fontId="6" fillId="3" borderId="1" applyAlignment="1" pivotButton="0" quotePrefix="0" xfId="0">
      <alignment horizontal="center" vertical="center" wrapText="1"/>
    </xf>
    <xf numFmtId="0" fontId="7" fillId="3" borderId="1" applyAlignment="1" pivotButton="0" quotePrefix="0" xfId="0">
      <alignment horizontal="left" vertical="center" wrapText="1"/>
    </xf>
    <xf numFmtId="0" fontId="8" fillId="2" borderId="6" applyAlignment="1" pivotButton="0" quotePrefix="0" xfId="0">
      <alignment horizontal="center" vertical="center" wrapText="1"/>
    </xf>
    <xf numFmtId="0" fontId="8" fillId="2" borderId="6" applyAlignment="1" pivotButton="0" quotePrefix="0" xfId="0">
      <alignment horizontal="left" vertical="center" wrapText="1"/>
    </xf>
    <xf numFmtId="164" fontId="8" fillId="2" borderId="6" applyAlignment="1" pivotButton="0" quotePrefix="0" xfId="0">
      <alignment horizontal="right" vertical="center"/>
    </xf>
    <xf numFmtId="165" fontId="8" fillId="2" borderId="6" applyAlignment="1" pivotButton="0" quotePrefix="0" xfId="0">
      <alignment horizontal="right" vertical="center"/>
    </xf>
    <xf numFmtId="0" fontId="0" fillId="4" borderId="0" pivotButton="0" quotePrefix="0" xfId="0"/>
    <xf numFmtId="0" fontId="9" fillId="7" borderId="0" applyAlignment="1" pivotButton="0" quotePrefix="0" xfId="0">
      <alignment horizontal="center" vertical="center" wrapText="1"/>
    </xf>
    <xf numFmtId="0" fontId="6" fillId="7" borderId="1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left" vertical="center" wrapText="1"/>
    </xf>
    <xf numFmtId="0" fontId="0" fillId="0" borderId="1" pivotButton="0" quotePrefix="0" xfId="0"/>
    <xf numFmtId="164" fontId="10" fillId="6" borderId="6" applyAlignment="1" pivotButton="0" quotePrefix="0" xfId="0">
      <alignment horizontal="right" vertical="center"/>
    </xf>
    <xf numFmtId="0" fontId="11" fillId="4" borderId="1" applyAlignment="1" pivotButton="0" quotePrefix="0" xfId="0">
      <alignment horizontal="left" vertical="center" wrapText="1"/>
    </xf>
    <xf numFmtId="0" fontId="0" fillId="4" borderId="1" pivotButton="0" quotePrefix="0" xfId="0"/>
    <xf numFmtId="0" fontId="6" fillId="3" borderId="1" applyAlignment="1" pivotButton="0" quotePrefix="0" xfId="0">
      <alignment horizontal="left" vertical="center" wrapText="1"/>
    </xf>
    <xf numFmtId="0" fontId="11" fillId="3" borderId="1" applyAlignment="1" pivotButton="0" quotePrefix="0" xfId="0">
      <alignment horizontal="left" vertical="center" wrapText="1"/>
    </xf>
    <xf numFmtId="0" fontId="0" fillId="3" borderId="1" pivotButton="0" quotePrefix="0" xfId="0"/>
    <xf numFmtId="165" fontId="10" fillId="6" borderId="6" applyAlignment="1" pivotButton="0" quotePrefix="0" xfId="0">
      <alignment horizontal="right" vertical="center"/>
    </xf>
    <xf numFmtId="166" fontId="10" fillId="6" borderId="6" applyAlignment="1" pivotButton="0" quotePrefix="0" xfId="0">
      <alignment horizontal="right" vertical="center"/>
    </xf>
    <xf numFmtId="0" fontId="5" fillId="7" borderId="0" applyAlignment="1" pivotButton="0" quotePrefix="0" xfId="0">
      <alignment horizontal="center" vertical="center" wrapText="1"/>
    </xf>
    <xf numFmtId="0" fontId="12" fillId="2" borderId="0" applyAlignment="1" pivotButton="0" quotePrefix="0" xfId="0">
      <alignment horizontal="center" vertical="center" wrapText="1"/>
    </xf>
    <xf numFmtId="164" fontId="6" fillId="6" borderId="1" applyAlignment="1" pivotButton="0" quotePrefix="0" xfId="0">
      <alignment horizontal="right" vertical="center"/>
    </xf>
    <xf numFmtId="0" fontId="8" fillId="8" borderId="1" applyAlignment="1" pivotButton="0" quotePrefix="0" xfId="0">
      <alignment horizontal="center" vertical="center" wrapText="1"/>
    </xf>
    <xf numFmtId="0" fontId="13" fillId="2" borderId="0" applyAlignment="1" pivotButton="0" quotePrefix="0" xfId="0">
      <alignment horizontal="center" vertical="center" wrapText="1"/>
    </xf>
    <xf numFmtId="165" fontId="14" fillId="5" borderId="6" applyAlignment="1" pivotButton="0" quotePrefix="0" xfId="0">
      <alignment horizontal="center" vertical="center" wrapText="1"/>
    </xf>
    <xf numFmtId="164" fontId="7" fillId="4" borderId="1" applyAlignment="1" pivotButton="0" quotePrefix="0" xfId="0">
      <alignment horizontal="right" vertical="center"/>
    </xf>
    <xf numFmtId="165" fontId="6" fillId="4" borderId="1" applyAlignment="1" pivotButton="0" quotePrefix="0" xfId="0">
      <alignment horizontal="right" vertical="center"/>
    </xf>
    <xf numFmtId="165" fontId="6" fillId="6" borderId="6" applyAlignment="1" pivotButton="0" quotePrefix="0" xfId="0">
      <alignment horizontal="right" vertical="center"/>
    </xf>
    <xf numFmtId="164" fontId="7" fillId="3" borderId="1" applyAlignment="1" pivotButton="0" quotePrefix="0" xfId="0">
      <alignment horizontal="right" vertical="center"/>
    </xf>
    <xf numFmtId="165" fontId="6" fillId="3" borderId="1" applyAlignment="1" pivotButton="0" quotePrefix="0" xfId="0">
      <alignment horizontal="right" vertical="center"/>
    </xf>
    <xf numFmtId="0" fontId="0" fillId="2" borderId="6" pivotButton="0" quotePrefix="0" xfId="0"/>
    <xf numFmtId="0" fontId="15" fillId="2" borderId="0" applyAlignment="1" pivotButton="0" quotePrefix="0" xfId="0">
      <alignment horizontal="center" vertical="center" wrapText="1"/>
    </xf>
    <xf numFmtId="0" fontId="7" fillId="4" borderId="1" applyAlignment="1" pivotButton="0" quotePrefix="0" xfId="0">
      <alignment horizontal="center" vertical="center" wrapText="1"/>
    </xf>
    <xf numFmtId="0" fontId="6" fillId="5" borderId="1" applyAlignment="1" pivotButton="0" quotePrefix="0" xfId="0">
      <alignment horizontal="center" vertical="center" wrapText="1"/>
    </xf>
    <xf numFmtId="0" fontId="7" fillId="3" borderId="1" applyAlignment="1" pivotButton="0" quotePrefix="0" xfId="0">
      <alignment horizontal="center" vertical="center" wrapText="1"/>
    </xf>
    <xf numFmtId="0" fontId="16" fillId="6" borderId="1" applyAlignment="1" pivotButton="0" quotePrefix="0" xfId="0">
      <alignment horizontal="left" vertical="center" wrapText="1"/>
    </xf>
    <xf numFmtId="0" fontId="0" fillId="7" borderId="1" pivotButton="0" quotePrefix="0" xfId="0"/>
  </cellXfs>
  <cellStyles count="1">
    <cellStyle name="Normal" xfId="0" builtinId="0" hidden="0"/>
  </cellStyles>
  <dxfs count="2">
    <dxf>
      <font>
        <b val="1"/>
        <color rgb="00FFFFFF"/>
      </font>
      <fill>
        <patternFill patternType="solid">
          <fgColor rgb="0022C55E"/>
        </patternFill>
      </fill>
    </dxf>
    <dxf>
      <font>
        <b val="1"/>
        <color rgb="00FFFFFF"/>
      </font>
      <fill>
        <patternFill patternType="solid">
          <fgColor rgb="00DC262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Confronto Margine Lordo vs Netto per Prodotto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'Analisi per Prodotto'!C3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'Analisi per Prodotto'!$B$4:$B$13</f>
            </numRef>
          </cat>
          <val>
            <numRef>
              <f>'Analisi per Prodotto'!$C$4:$C$13</f>
            </numRef>
          </val>
        </ser>
        <ser>
          <idx val="1"/>
          <order val="1"/>
          <tx>
            <strRef>
              <f>'Analisi per Prodotto'!D3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'Analisi per Prodotto'!$B$4:$B$13</f>
            </numRef>
          </cat>
          <val>
            <numRef>
              <f>'Analisi per Prodotto'!$D$4:$D$13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Prodotto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Margine %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14</row>
      <rowOff>0</rowOff>
    </from>
    <ext cx="792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34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28" customWidth="1" min="2" max="2"/>
    <col width="18" customWidth="1" min="3" max="3"/>
    <col width="18" customWidth="1" min="4" max="4"/>
    <col width="18" customWidth="1" min="5" max="5"/>
    <col width="18" customWidth="1" min="6" max="6"/>
    <col width="16" customWidth="1" min="7" max="7"/>
    <col width="16" customWidth="1" min="8" max="8"/>
    <col width="16" customWidth="1" min="9" max="9"/>
  </cols>
  <sheetData>
    <row r="1" ht="15" customHeight="1">
      <c r="A1" s="1" t="inlineStr"/>
    </row>
    <row r="2" ht="50" customHeight="1">
      <c r="A2" s="2" t="inlineStr">
        <is>
          <t>CALCOLO MARGINE DI PROFITTO</t>
        </is>
      </c>
    </row>
    <row r="3" ht="20" customHeight="1">
      <c r="A3" s="3" t="inlineStr">
        <is>
          <t>Strumento di analisi redditività aziendale — Data: 11/04/2026</t>
        </is>
      </c>
      <c r="G3" s="4" t="inlineStr">
        <is>
          <t>Versione 1.0</t>
        </is>
      </c>
    </row>
    <row r="4" ht="30" customHeight="1">
      <c r="A4" s="5" t="inlineStr">
        <is>
          <t>📊  PANNELLO DI CONTROLLO — I margini sono calcolati automaticamente</t>
        </is>
      </c>
      <c r="B4" s="6" t="n"/>
      <c r="C4" s="6" t="n"/>
      <c r="D4" s="6" t="n"/>
      <c r="E4" s="6" t="n"/>
      <c r="F4" s="6" t="n"/>
      <c r="G4" s="6" t="n"/>
      <c r="H4" s="6" t="n"/>
      <c r="I4" s="7" t="n"/>
    </row>
    <row r="5" ht="36" customHeight="1">
      <c r="A5" s="8" t="inlineStr"/>
      <c r="B5" s="8" t="inlineStr">
        <is>
          <t>PRODOTTO / SERVIZIO</t>
        </is>
      </c>
      <c r="C5" s="8" t="inlineStr">
        <is>
          <t>RICAVO NETTO (€)</t>
        </is>
      </c>
      <c r="D5" s="8" t="inlineStr">
        <is>
          <t>COSTO DEL VENDUTO (€)</t>
        </is>
      </c>
      <c r="E5" s="8" t="inlineStr">
        <is>
          <t>COSTI FISSI (€)</t>
        </is>
      </c>
      <c r="F5" s="8" t="inlineStr">
        <is>
          <t>COSTI VARIABILI (€)</t>
        </is>
      </c>
      <c r="G5" s="8" t="inlineStr">
        <is>
          <t>MARGINE LORDO</t>
        </is>
      </c>
      <c r="H5" s="8" t="inlineStr">
        <is>
          <t>MARGINE NETTO</t>
        </is>
      </c>
      <c r="I5" s="8" t="inlineStr">
        <is>
          <t>INDICATORE</t>
        </is>
      </c>
    </row>
    <row r="6" ht="22" customHeight="1">
      <c r="A6" s="9" t="n">
        <v>1</v>
      </c>
      <c r="B6" s="10" t="inlineStr">
        <is>
          <t>Consulenza IT — Pacchetto Base</t>
        </is>
      </c>
      <c r="C6" s="11" t="n">
        <v>12000</v>
      </c>
      <c r="D6" s="11" t="n">
        <v>4500</v>
      </c>
      <c r="E6" s="11" t="n">
        <v>1200</v>
      </c>
      <c r="F6" s="11" t="n">
        <v>800</v>
      </c>
      <c r="G6" s="12">
        <f>IF(C6&gt;0,(C6-D6)/C6,0)</f>
        <v/>
      </c>
      <c r="H6" s="12">
        <f>IF(C6&gt;0,(C6-D6-E6-F6)/C6,0)</f>
        <v/>
      </c>
      <c r="I6" s="9">
        <f>IF(H6&gt;=0.2,"🟢 OTTIMO",IF(H6&gt;=0.1,"🟡 BUONO",IF(H6&gt;=0,"🟠 BASSO","🔴 NEGATIVO")))</f>
        <v/>
      </c>
    </row>
    <row r="7" ht="22" customHeight="1">
      <c r="A7" s="13" t="n">
        <v>2</v>
      </c>
      <c r="B7" s="14" t="inlineStr">
        <is>
          <t>Consulenza IT — Pacchetto Premium</t>
        </is>
      </c>
      <c r="C7" s="11" t="n">
        <v>28000</v>
      </c>
      <c r="D7" s="11" t="n">
        <v>9800</v>
      </c>
      <c r="E7" s="11" t="n">
        <v>2100</v>
      </c>
      <c r="F7" s="11" t="n">
        <v>1400</v>
      </c>
      <c r="G7" s="12">
        <f>IF(C7&gt;0,(C7-D7)/C7,0)</f>
        <v/>
      </c>
      <c r="H7" s="12">
        <f>IF(C7&gt;0,(C7-D7-E7-F7)/C7,0)</f>
        <v/>
      </c>
      <c r="I7" s="13">
        <f>IF(H7&gt;=0.2,"🟢 OTTIMO",IF(H7&gt;=0.1,"🟡 BUONO",IF(H7&gt;=0,"🟠 BASSO","🔴 NEGATIVO")))</f>
        <v/>
      </c>
    </row>
    <row r="8" ht="22" customHeight="1">
      <c r="A8" s="9" t="n">
        <v>3</v>
      </c>
      <c r="B8" s="10" t="inlineStr">
        <is>
          <t>Sviluppo Software Personalizzato</t>
        </is>
      </c>
      <c r="C8" s="11" t="n">
        <v>45000</v>
      </c>
      <c r="D8" s="11" t="n">
        <v>18500</v>
      </c>
      <c r="E8" s="11" t="n">
        <v>3500</v>
      </c>
      <c r="F8" s="11" t="n">
        <v>2200</v>
      </c>
      <c r="G8" s="12">
        <f>IF(C8&gt;0,(C8-D8)/C8,0)</f>
        <v/>
      </c>
      <c r="H8" s="12">
        <f>IF(C8&gt;0,(C8-D8-E8-F8)/C8,0)</f>
        <v/>
      </c>
      <c r="I8" s="9">
        <f>IF(H8&gt;=0.2,"🟢 OTTIMO",IF(H8&gt;=0.1,"🟡 BUONO",IF(H8&gt;=0,"🟠 BASSO","🔴 NEGATIVO")))</f>
        <v/>
      </c>
    </row>
    <row r="9" ht="22" customHeight="1">
      <c r="A9" s="13" t="n">
        <v>4</v>
      </c>
      <c r="B9" s="14" t="inlineStr">
        <is>
          <t>Manutenzione e Assistenza</t>
        </is>
      </c>
      <c r="C9" s="11" t="n">
        <v>8500</v>
      </c>
      <c r="D9" s="11" t="n">
        <v>2800</v>
      </c>
      <c r="E9" s="11" t="n">
        <v>900</v>
      </c>
      <c r="F9" s="11" t="n">
        <v>600</v>
      </c>
      <c r="G9" s="12">
        <f>IF(C9&gt;0,(C9-D9)/C9,0)</f>
        <v/>
      </c>
      <c r="H9" s="12">
        <f>IF(C9&gt;0,(C9-D9-E9-F9)/C9,0)</f>
        <v/>
      </c>
      <c r="I9" s="13">
        <f>IF(H9&gt;=0.2,"🟢 OTTIMO",IF(H9&gt;=0.1,"🟡 BUONO",IF(H9&gt;=0,"🟠 BASSO","🔴 NEGATIVO")))</f>
        <v/>
      </c>
    </row>
    <row r="10" ht="22" customHeight="1">
      <c r="A10" s="9" t="n">
        <v>5</v>
      </c>
      <c r="B10" s="10" t="inlineStr">
        <is>
          <t>Formazione Aziendale</t>
        </is>
      </c>
      <c r="C10" s="11" t="n">
        <v>15000</v>
      </c>
      <c r="D10" s="11" t="n">
        <v>5200</v>
      </c>
      <c r="E10" s="11" t="n">
        <v>1500</v>
      </c>
      <c r="F10" s="11" t="n">
        <v>950</v>
      </c>
      <c r="G10" s="12">
        <f>IF(C10&gt;0,(C10-D10)/C10,0)</f>
        <v/>
      </c>
      <c r="H10" s="12">
        <f>IF(C10&gt;0,(C10-D10-E10-F10)/C10,0)</f>
        <v/>
      </c>
      <c r="I10" s="9">
        <f>IF(H10&gt;=0.2,"🟢 OTTIMO",IF(H10&gt;=0.1,"🟡 BUONO",IF(H10&gt;=0,"🟠 BASSO","🔴 NEGATIVO")))</f>
        <v/>
      </c>
    </row>
    <row r="11" ht="22" customHeight="1">
      <c r="A11" s="13" t="n">
        <v>6</v>
      </c>
      <c r="B11" s="14" t="inlineStr">
        <is>
          <t>Analisi e Reportistica</t>
        </is>
      </c>
      <c r="C11" s="11" t="n">
        <v>9200</v>
      </c>
      <c r="D11" s="11" t="n">
        <v>3100</v>
      </c>
      <c r="E11" s="11" t="n">
        <v>800</v>
      </c>
      <c r="F11" s="11" t="n">
        <v>550</v>
      </c>
      <c r="G11" s="12">
        <f>IF(C11&gt;0,(C11-D11)/C11,0)</f>
        <v/>
      </c>
      <c r="H11" s="12">
        <f>IF(C11&gt;0,(C11-D11-E11-F11)/C11,0)</f>
        <v/>
      </c>
      <c r="I11" s="13">
        <f>IF(H11&gt;=0.2,"🟢 OTTIMO",IF(H11&gt;=0.1,"🟡 BUONO",IF(H11&gt;=0,"🟠 BASSO","🔴 NEGATIVO")))</f>
        <v/>
      </c>
    </row>
    <row r="12" ht="22" customHeight="1">
      <c r="A12" s="9" t="n">
        <v>7</v>
      </c>
      <c r="B12" s="10" t="inlineStr">
        <is>
          <t>Cloud Services — Hosting</t>
        </is>
      </c>
      <c r="C12" s="11" t="n">
        <v>22000</v>
      </c>
      <c r="D12" s="11" t="n">
        <v>11000</v>
      </c>
      <c r="E12" s="11" t="n">
        <v>1800</v>
      </c>
      <c r="F12" s="11" t="n">
        <v>1200</v>
      </c>
      <c r="G12" s="12">
        <f>IF(C12&gt;0,(C12-D12)/C12,0)</f>
        <v/>
      </c>
      <c r="H12" s="12">
        <f>IF(C12&gt;0,(C12-D12-E12-F12)/C12,0)</f>
        <v/>
      </c>
      <c r="I12" s="9">
        <f>IF(H12&gt;=0.2,"🟢 OTTIMO",IF(H12&gt;=0.1,"🟡 BUONO",IF(H12&gt;=0,"🟠 BASSO","🔴 NEGATIVO")))</f>
        <v/>
      </c>
    </row>
    <row r="13" ht="22" customHeight="1">
      <c r="A13" s="13" t="n">
        <v>8</v>
      </c>
      <c r="B13" s="14" t="inlineStr">
        <is>
          <t>Licenze Software Rivendita</t>
        </is>
      </c>
      <c r="C13" s="11" t="n">
        <v>18500</v>
      </c>
      <c r="D13" s="11" t="n">
        <v>13800</v>
      </c>
      <c r="E13" s="11" t="n">
        <v>600</v>
      </c>
      <c r="F13" s="11" t="n">
        <v>400</v>
      </c>
      <c r="G13" s="12">
        <f>IF(C13&gt;0,(C13-D13)/C13,0)</f>
        <v/>
      </c>
      <c r="H13" s="12">
        <f>IF(C13&gt;0,(C13-D13-E13-F13)/C13,0)</f>
        <v/>
      </c>
      <c r="I13" s="13">
        <f>IF(H13&gt;=0.2,"🟢 OTTIMO",IF(H13&gt;=0.1,"🟡 BUONO",IF(H13&gt;=0,"🟠 BASSO","🔴 NEGATIVO")))</f>
        <v/>
      </c>
    </row>
    <row r="14" ht="22" customHeight="1">
      <c r="A14" s="9" t="n">
        <v>9</v>
      </c>
      <c r="B14" s="10" t="inlineStr">
        <is>
          <t>Progettazione UX/UI</t>
        </is>
      </c>
      <c r="C14" s="11" t="n">
        <v>11000</v>
      </c>
      <c r="D14" s="11" t="n">
        <v>3800</v>
      </c>
      <c r="E14" s="11" t="n">
        <v>1100</v>
      </c>
      <c r="F14" s="11" t="n">
        <v>750</v>
      </c>
      <c r="G14" s="12">
        <f>IF(C14&gt;0,(C14-D14)/C14,0)</f>
        <v/>
      </c>
      <c r="H14" s="12">
        <f>IF(C14&gt;0,(C14-D14-E14-F14)/C14,0)</f>
        <v/>
      </c>
      <c r="I14" s="9">
        <f>IF(H14&gt;=0.2,"🟢 OTTIMO",IF(H14&gt;=0.1,"🟡 BUONO",IF(H14&gt;=0,"🟠 BASSO","🔴 NEGATIVO")))</f>
        <v/>
      </c>
    </row>
    <row r="15" ht="22" customHeight="1">
      <c r="A15" s="13" t="n">
        <v>10</v>
      </c>
      <c r="B15" s="14" t="inlineStr">
        <is>
          <t>Integrazione Sistemi ERP</t>
        </is>
      </c>
      <c r="C15" s="11" t="n">
        <v>38000</v>
      </c>
      <c r="D15" s="11" t="n">
        <v>15200</v>
      </c>
      <c r="E15" s="11" t="n">
        <v>2800</v>
      </c>
      <c r="F15" s="11" t="n">
        <v>1900</v>
      </c>
      <c r="G15" s="12">
        <f>IF(C15&gt;0,(C15-D15)/C15,0)</f>
        <v/>
      </c>
      <c r="H15" s="12">
        <f>IF(C15&gt;0,(C15-D15-E15-F15)/C15,0)</f>
        <v/>
      </c>
      <c r="I15" s="13">
        <f>IF(H15&gt;=0.2,"🟢 OTTIMO",IF(H15&gt;=0.1,"🟡 BUONO",IF(H15&gt;=0,"🟠 BASSO","🔴 NEGATIVO")))</f>
        <v/>
      </c>
    </row>
    <row r="16" ht="28" customHeight="1">
      <c r="A16" s="15" t="inlineStr"/>
      <c r="B16" s="16" t="inlineStr">
        <is>
          <t>TOTALE COMPLESSIVO</t>
        </is>
      </c>
      <c r="C16" s="17">
        <f>SUM(C6:C15)</f>
        <v/>
      </c>
      <c r="D16" s="17">
        <f>SUM(D6:D15)</f>
        <v/>
      </c>
      <c r="E16" s="17">
        <f>SUM(E6:E15)</f>
        <v/>
      </c>
      <c r="F16" s="17">
        <f>SUM(F6:F15)</f>
        <v/>
      </c>
      <c r="G16" s="18">
        <f>IF(C16&gt;0,(C16-D16)/C16,0)</f>
        <v/>
      </c>
      <c r="H16" s="18">
        <f>IF(C16&gt;0,(C16-D16-E16-F16)/C16,0)</f>
        <v/>
      </c>
      <c r="I16" s="15">
        <f>IF(H16&gt;=0.2,"🟢 OTTIMO",IF(H16&gt;=0.1,"🟡 BUONO",IF(H16&gt;=0,"🟠 BASSO","🔴 NEGATIVO")))</f>
        <v/>
      </c>
    </row>
    <row r="17" ht="10" customHeight="1">
      <c r="A17" s="19" t="inlineStr"/>
    </row>
    <row r="18" ht="28" customHeight="1">
      <c r="A18" s="20" t="inlineStr">
        <is>
          <t>RIEPILOGO KPI — INDICATORI CHIAVE DI REDDITIVITÀ</t>
        </is>
      </c>
    </row>
    <row r="19" ht="22" customHeight="1">
      <c r="A19" s="21" t="n">
        <v>1</v>
      </c>
      <c r="B19" s="22" t="inlineStr">
        <is>
          <t>Ricavo Netto Totale</t>
        </is>
      </c>
      <c r="C19" s="23" t="n"/>
      <c r="D19" s="24">
        <f>C16</f>
        <v/>
      </c>
      <c r="E19" s="25" t="inlineStr">
        <is>
          <t>Somma di tutti i ricavi netti</t>
        </is>
      </c>
      <c r="F19" s="26" t="n"/>
      <c r="G19" s="26" t="n"/>
      <c r="H19" s="26" t="n"/>
      <c r="I19" s="26" t="n"/>
    </row>
    <row r="20" ht="22" customHeight="1">
      <c r="A20" s="21" t="n">
        <v>2</v>
      </c>
      <c r="B20" s="27" t="inlineStr">
        <is>
          <t>Costo del Venduto Totale</t>
        </is>
      </c>
      <c r="C20" s="23" t="n"/>
      <c r="D20" s="24">
        <f>D16</f>
        <v/>
      </c>
      <c r="E20" s="28" t="inlineStr">
        <is>
          <t>Costi diretti di produzione/erogazione</t>
        </is>
      </c>
      <c r="F20" s="29" t="n"/>
      <c r="G20" s="29" t="n"/>
      <c r="H20" s="29" t="n"/>
      <c r="I20" s="29" t="n"/>
    </row>
    <row r="21" ht="22" customHeight="1">
      <c r="A21" s="21" t="n">
        <v>3</v>
      </c>
      <c r="B21" s="22" t="inlineStr">
        <is>
          <t>Costi Fissi Totali</t>
        </is>
      </c>
      <c r="C21" s="23" t="n"/>
      <c r="D21" s="24">
        <f>E16</f>
        <v/>
      </c>
      <c r="E21" s="25" t="inlineStr">
        <is>
          <t>Affitti, stipendi fissi, ammortamenti</t>
        </is>
      </c>
      <c r="F21" s="26" t="n"/>
      <c r="G21" s="26" t="n"/>
      <c r="H21" s="26" t="n"/>
      <c r="I21" s="26" t="n"/>
    </row>
    <row r="22" ht="22" customHeight="1">
      <c r="A22" s="21" t="n">
        <v>4</v>
      </c>
      <c r="B22" s="27" t="inlineStr">
        <is>
          <t>Costi Variabili Totali</t>
        </is>
      </c>
      <c r="C22" s="23" t="n"/>
      <c r="D22" s="24">
        <f>F16</f>
        <v/>
      </c>
      <c r="E22" s="28" t="inlineStr">
        <is>
          <t>Materie prime, provvigioni, ecc.</t>
        </is>
      </c>
      <c r="F22" s="29" t="n"/>
      <c r="G22" s="29" t="n"/>
      <c r="H22" s="29" t="n"/>
      <c r="I22" s="29" t="n"/>
    </row>
    <row r="23" ht="22" customHeight="1">
      <c r="A23" s="21" t="n">
        <v>5</v>
      </c>
      <c r="B23" s="22" t="inlineStr">
        <is>
          <t>Utile Lordo</t>
        </is>
      </c>
      <c r="C23" s="23" t="n"/>
      <c r="D23" s="24">
        <f>C16-D16</f>
        <v/>
      </c>
      <c r="E23" s="25" t="inlineStr">
        <is>
          <t>Ricavo — Costo del Venduto</t>
        </is>
      </c>
      <c r="F23" s="26" t="n"/>
      <c r="G23" s="26" t="n"/>
      <c r="H23" s="26" t="n"/>
      <c r="I23" s="26" t="n"/>
    </row>
    <row r="24" ht="22" customHeight="1">
      <c r="A24" s="21" t="n">
        <v>6</v>
      </c>
      <c r="B24" s="27" t="inlineStr">
        <is>
          <t>Utile Netto</t>
        </is>
      </c>
      <c r="C24" s="23" t="n"/>
      <c r="D24" s="24">
        <f>C16-D16-E16-F16</f>
        <v/>
      </c>
      <c r="E24" s="28" t="inlineStr">
        <is>
          <t>Ricavo — tutti i costi</t>
        </is>
      </c>
      <c r="F24" s="29" t="n"/>
      <c r="G24" s="29" t="n"/>
      <c r="H24" s="29" t="n"/>
      <c r="I24" s="29" t="n"/>
    </row>
    <row r="25" ht="22" customHeight="1">
      <c r="A25" s="21" t="n">
        <v>7</v>
      </c>
      <c r="B25" s="22" t="inlineStr">
        <is>
          <t>Margine Lordo %</t>
        </is>
      </c>
      <c r="C25" s="23" t="n"/>
      <c r="D25" s="30">
        <f>G16</f>
        <v/>
      </c>
      <c r="E25" s="25" t="inlineStr">
        <is>
          <t>% sul ricavo (benchmark settore: 40%)</t>
        </is>
      </c>
      <c r="F25" s="26" t="n"/>
      <c r="G25" s="26" t="n"/>
      <c r="H25" s="26" t="n"/>
      <c r="I25" s="26" t="n"/>
    </row>
    <row r="26" ht="22" customHeight="1">
      <c r="A26" s="21" t="n">
        <v>8</v>
      </c>
      <c r="B26" s="27" t="inlineStr">
        <is>
          <t>Margine Netto %</t>
        </is>
      </c>
      <c r="C26" s="23" t="n"/>
      <c r="D26" s="30">
        <f>H16</f>
        <v/>
      </c>
      <c r="E26" s="28" t="inlineStr">
        <is>
          <t>% sul ricavo (benchmark settore: 15%)</t>
        </is>
      </c>
      <c r="F26" s="29" t="n"/>
      <c r="G26" s="29" t="n"/>
      <c r="H26" s="29" t="n"/>
      <c r="I26" s="29" t="n"/>
    </row>
    <row r="27" ht="22" customHeight="1">
      <c r="A27" s="21" t="n">
        <v>9</v>
      </c>
      <c r="B27" s="22" t="inlineStr">
        <is>
          <t>Break-Even Point</t>
        </is>
      </c>
      <c r="C27" s="23" t="n"/>
      <c r="D27" s="24">
        <f>IF((1-D16/C16)&gt;0,E16/(1-D16/C16),0)</f>
        <v/>
      </c>
      <c r="E27" s="25" t="inlineStr">
        <is>
          <t>Soglia di pareggio operativo</t>
        </is>
      </c>
      <c r="F27" s="26" t="n"/>
      <c r="G27" s="26" t="n"/>
      <c r="H27" s="26" t="n"/>
      <c r="I27" s="26" t="n"/>
    </row>
    <row r="28" ht="22" customHeight="1">
      <c r="A28" s="21" t="n">
        <v>10</v>
      </c>
      <c r="B28" s="27" t="inlineStr">
        <is>
          <t>Leva Operativa</t>
        </is>
      </c>
      <c r="C28" s="23" t="n"/>
      <c r="D28" s="31">
        <f>IF(C16-D16-F16&lt;&gt;0,(C16-D16-F16-E16)/(C16-D16-F16),0)</f>
        <v/>
      </c>
      <c r="E28" s="28" t="inlineStr">
        <is>
          <t>Sensibilità utile alle variazioni ricavi</t>
        </is>
      </c>
      <c r="F28" s="29" t="n"/>
      <c r="G28" s="29" t="n"/>
      <c r="H28" s="29" t="n"/>
      <c r="I28" s="29" t="n"/>
    </row>
    <row r="29" ht="10" customHeight="1">
      <c r="A29" s="19" t="inlineStr"/>
    </row>
    <row r="30" ht="25" customHeight="1">
      <c r="A30" s="32" t="inlineStr">
        <is>
          <t>LEGENDA INDICATORI DI MARGINE</t>
        </is>
      </c>
    </row>
    <row r="31" ht="22" customHeight="1">
      <c r="A31" s="9" t="inlineStr">
        <is>
          <t>🟢 OTTIMO</t>
        </is>
      </c>
      <c r="B31" s="9" t="inlineStr">
        <is>
          <t>Margine Netto ≥ 20%</t>
        </is>
      </c>
      <c r="C31" s="23" t="n"/>
      <c r="D31" s="10" t="inlineStr">
        <is>
          <t>Eccellente redditività. Ottimizzare la crescita.</t>
        </is>
      </c>
      <c r="E31" s="26" t="n"/>
      <c r="F31" s="26" t="n"/>
      <c r="G31" s="26" t="n"/>
      <c r="H31" s="26" t="n"/>
      <c r="I31" s="26" t="n"/>
    </row>
    <row r="32" ht="22" customHeight="1">
      <c r="A32" s="13" t="inlineStr">
        <is>
          <t>🟡 BUONO</t>
        </is>
      </c>
      <c r="B32" s="13" t="inlineStr">
        <is>
          <t>Margine Netto ≥ 10%</t>
        </is>
      </c>
      <c r="C32" s="23" t="n"/>
      <c r="D32" s="14" t="inlineStr">
        <is>
          <t>Buona salute finanziaria. Monitorare i costi.</t>
        </is>
      </c>
      <c r="E32" s="29" t="n"/>
      <c r="F32" s="29" t="n"/>
      <c r="G32" s="29" t="n"/>
      <c r="H32" s="29" t="n"/>
      <c r="I32" s="29" t="n"/>
    </row>
    <row r="33" ht="22" customHeight="1">
      <c r="A33" s="9" t="inlineStr">
        <is>
          <t>🟠 BASSO</t>
        </is>
      </c>
      <c r="B33" s="9" t="inlineStr">
        <is>
          <t>Margine Netto ≥ 0%</t>
        </is>
      </c>
      <c r="C33" s="23" t="n"/>
      <c r="D33" s="10" t="inlineStr">
        <is>
          <t>Redditività scarsa. Rivedere la struttura dei costi.</t>
        </is>
      </c>
      <c r="E33" s="26" t="n"/>
      <c r="F33" s="26" t="n"/>
      <c r="G33" s="26" t="n"/>
      <c r="H33" s="26" t="n"/>
      <c r="I33" s="26" t="n"/>
    </row>
    <row r="34" ht="22" customHeight="1">
      <c r="A34" s="13" t="inlineStr">
        <is>
          <t>🔴 NEGATIVO</t>
        </is>
      </c>
      <c r="B34" s="13" t="inlineStr">
        <is>
          <t>Margine Netto &lt; 0%</t>
        </is>
      </c>
      <c r="C34" s="23" t="n"/>
      <c r="D34" s="14" t="inlineStr">
        <is>
          <t>Perdita operativa. Intervento urgente necessario.</t>
        </is>
      </c>
      <c r="E34" s="29" t="n"/>
      <c r="F34" s="29" t="n"/>
      <c r="G34" s="29" t="n"/>
      <c r="H34" s="29" t="n"/>
      <c r="I34" s="29" t="n"/>
    </row>
  </sheetData>
  <mergeCells count="47">
    <mergeCell ref="A1:I1"/>
    <mergeCell ref="A2:I2"/>
    <mergeCell ref="A3:F3"/>
    <mergeCell ref="G3:I3"/>
    <mergeCell ref="A4:I4"/>
    <mergeCell ref="A17:I17"/>
    <mergeCell ref="A18:I18"/>
    <mergeCell ref="A19"/>
    <mergeCell ref="B19:C19"/>
    <mergeCell ref="E19:I19"/>
    <mergeCell ref="A20"/>
    <mergeCell ref="B20:C20"/>
    <mergeCell ref="E20:I20"/>
    <mergeCell ref="A21"/>
    <mergeCell ref="B21:C21"/>
    <mergeCell ref="E21:I21"/>
    <mergeCell ref="A22"/>
    <mergeCell ref="B22:C22"/>
    <mergeCell ref="E22:I22"/>
    <mergeCell ref="A23"/>
    <mergeCell ref="B23:C23"/>
    <mergeCell ref="E23:I23"/>
    <mergeCell ref="A24"/>
    <mergeCell ref="B24:C24"/>
    <mergeCell ref="E24:I24"/>
    <mergeCell ref="A25"/>
    <mergeCell ref="B25:C25"/>
    <mergeCell ref="E25:I25"/>
    <mergeCell ref="A26"/>
    <mergeCell ref="B26:C26"/>
    <mergeCell ref="E26:I26"/>
    <mergeCell ref="A27"/>
    <mergeCell ref="B27:C27"/>
    <mergeCell ref="E27:I27"/>
    <mergeCell ref="A28"/>
    <mergeCell ref="B28:C28"/>
    <mergeCell ref="E28:I28"/>
    <mergeCell ref="A29:I29"/>
    <mergeCell ref="A30:I30"/>
    <mergeCell ref="B31:C31"/>
    <mergeCell ref="D31:I31"/>
    <mergeCell ref="B32:C32"/>
    <mergeCell ref="D32:I32"/>
    <mergeCell ref="B33:C33"/>
    <mergeCell ref="D33:I33"/>
    <mergeCell ref="B34:C34"/>
    <mergeCell ref="D34:I34"/>
  </mergeCells>
  <pageMargins left="0.75" right="0.75" top="1" bottom="1" header="0.5" footer="0.5"/>
  <pageSetup orientation="landscape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3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30" customWidth="1" min="2" max="2"/>
    <col width="18" customWidth="1" min="3" max="3"/>
    <col width="18" customWidth="1" min="4" max="4"/>
    <col width="16" customWidth="1" min="5" max="5"/>
    <col width="16" customWidth="1" min="6" max="6"/>
  </cols>
  <sheetData>
    <row r="1" ht="40" customHeight="1">
      <c r="A1" s="33" t="inlineStr">
        <is>
          <t>ANALISI DETTAGLIATA PER PRODOTTO / SERVIZIO</t>
        </is>
      </c>
    </row>
    <row r="2" ht="18" customHeight="1">
      <c r="A2" s="3" t="inlineStr">
        <is>
          <t>Fonte dati: Foglio 'Calcolo Margine' — Aggiornato al 11/04/2026</t>
        </is>
      </c>
    </row>
    <row r="3" ht="32" customHeight="1">
      <c r="A3" s="8" t="inlineStr">
        <is>
          <t>#</t>
        </is>
      </c>
      <c r="B3" s="8" t="inlineStr">
        <is>
          <t>PRODOTTO / SERVIZIO</t>
        </is>
      </c>
      <c r="C3" s="8" t="inlineStr">
        <is>
          <t>MARGINE LORDO %</t>
        </is>
      </c>
      <c r="D3" s="8" t="inlineStr">
        <is>
          <t>MARGINE NETTO %</t>
        </is>
      </c>
      <c r="E3" s="8" t="inlineStr">
        <is>
          <t>UTILE NETTO (€)</t>
        </is>
      </c>
      <c r="F3" s="8" t="inlineStr">
        <is>
          <t>CLASSIFICAZIONE</t>
        </is>
      </c>
    </row>
    <row r="4" ht="22" customHeight="1">
      <c r="A4" s="21" t="n">
        <v>1</v>
      </c>
      <c r="B4" s="10" t="inlineStr">
        <is>
          <t>Consulenza IT — Pacchetto Base</t>
        </is>
      </c>
      <c r="C4" s="12" t="n">
        <v>0.625</v>
      </c>
      <c r="D4" s="12" t="n">
        <v>0.4583333333333333</v>
      </c>
      <c r="E4" s="34" t="n">
        <v>5500</v>
      </c>
      <c r="F4" s="35" t="inlineStr">
        <is>
          <t>🟢 OTTIMO</t>
        </is>
      </c>
    </row>
    <row r="5" ht="22" customHeight="1">
      <c r="A5" s="21" t="n">
        <v>2</v>
      </c>
      <c r="B5" s="14" t="inlineStr">
        <is>
          <t>Consulenza IT — Pacchetto Premium</t>
        </is>
      </c>
      <c r="C5" s="12" t="n">
        <v>0.65</v>
      </c>
      <c r="D5" s="12" t="n">
        <v>0.525</v>
      </c>
      <c r="E5" s="34" t="n">
        <v>14700</v>
      </c>
      <c r="F5" s="35" t="inlineStr">
        <is>
          <t>🟢 OTTIMO</t>
        </is>
      </c>
    </row>
    <row r="6" ht="22" customHeight="1">
      <c r="A6" s="21" t="n">
        <v>3</v>
      </c>
      <c r="B6" s="10" t="inlineStr">
        <is>
          <t>Sviluppo Software Personalizzato</t>
        </is>
      </c>
      <c r="C6" s="12" t="n">
        <v>0.5888888888888889</v>
      </c>
      <c r="D6" s="12" t="n">
        <v>0.4622222222222222</v>
      </c>
      <c r="E6" s="34" t="n">
        <v>20800</v>
      </c>
      <c r="F6" s="35" t="inlineStr">
        <is>
          <t>🟢 OTTIMO</t>
        </is>
      </c>
    </row>
    <row r="7" ht="22" customHeight="1">
      <c r="A7" s="21" t="n">
        <v>4</v>
      </c>
      <c r="B7" s="14" t="inlineStr">
        <is>
          <t>Manutenzione e Assistenza</t>
        </is>
      </c>
      <c r="C7" s="12" t="n">
        <v>0.6705882352941176</v>
      </c>
      <c r="D7" s="12" t="n">
        <v>0.4941176470588236</v>
      </c>
      <c r="E7" s="34" t="n">
        <v>4200</v>
      </c>
      <c r="F7" s="35" t="inlineStr">
        <is>
          <t>🟢 OTTIMO</t>
        </is>
      </c>
    </row>
    <row r="8" ht="22" customHeight="1">
      <c r="A8" s="21" t="n">
        <v>5</v>
      </c>
      <c r="B8" s="10" t="inlineStr">
        <is>
          <t>Formazione Aziendale</t>
        </is>
      </c>
      <c r="C8" s="12" t="n">
        <v>0.6533333333333333</v>
      </c>
      <c r="D8" s="12" t="n">
        <v>0.49</v>
      </c>
      <c r="E8" s="34" t="n">
        <v>7350</v>
      </c>
      <c r="F8" s="35" t="inlineStr">
        <is>
          <t>🟢 OTTIMO</t>
        </is>
      </c>
    </row>
    <row r="9" ht="22" customHeight="1">
      <c r="A9" s="21" t="n">
        <v>6</v>
      </c>
      <c r="B9" s="14" t="inlineStr">
        <is>
          <t>Analisi e Reportistica</t>
        </is>
      </c>
      <c r="C9" s="12" t="n">
        <v>0.6630434782608695</v>
      </c>
      <c r="D9" s="12" t="n">
        <v>0.5163043478260869</v>
      </c>
      <c r="E9" s="34" t="n">
        <v>4750</v>
      </c>
      <c r="F9" s="35" t="inlineStr">
        <is>
          <t>🟢 OTTIMO</t>
        </is>
      </c>
    </row>
    <row r="10" ht="22" customHeight="1">
      <c r="A10" s="21" t="n">
        <v>7</v>
      </c>
      <c r="B10" s="10" t="inlineStr">
        <is>
          <t>Cloud Services — Hosting</t>
        </is>
      </c>
      <c r="C10" s="12" t="n">
        <v>0.5</v>
      </c>
      <c r="D10" s="12" t="n">
        <v>0.3636363636363636</v>
      </c>
      <c r="E10" s="34" t="n">
        <v>8000</v>
      </c>
      <c r="F10" s="35" t="inlineStr">
        <is>
          <t>🟢 OTTIMO</t>
        </is>
      </c>
    </row>
    <row r="11" ht="22" customHeight="1">
      <c r="A11" s="21" t="n">
        <v>8</v>
      </c>
      <c r="B11" s="14" t="inlineStr">
        <is>
          <t>Licenze Software Rivendita</t>
        </is>
      </c>
      <c r="C11" s="12" t="n">
        <v>0.2540540540540541</v>
      </c>
      <c r="D11" s="12" t="n">
        <v>0.2</v>
      </c>
      <c r="E11" s="34" t="n">
        <v>3700</v>
      </c>
      <c r="F11" s="35" t="inlineStr">
        <is>
          <t>🟢 OTTIMO</t>
        </is>
      </c>
    </row>
    <row r="12" ht="22" customHeight="1">
      <c r="A12" s="21" t="n">
        <v>9</v>
      </c>
      <c r="B12" s="10" t="inlineStr">
        <is>
          <t>Progettazione UX/UI</t>
        </is>
      </c>
      <c r="C12" s="12" t="n">
        <v>0.6545454545454545</v>
      </c>
      <c r="D12" s="12" t="n">
        <v>0.4863636363636364</v>
      </c>
      <c r="E12" s="34" t="n">
        <v>5350</v>
      </c>
      <c r="F12" s="35" t="inlineStr">
        <is>
          <t>🟢 OTTIMO</t>
        </is>
      </c>
    </row>
    <row r="13" ht="22" customHeight="1">
      <c r="A13" s="21" t="n">
        <v>10</v>
      </c>
      <c r="B13" s="14" t="inlineStr">
        <is>
          <t>Integrazione Sistemi ERP</t>
        </is>
      </c>
      <c r="C13" s="12" t="n">
        <v>0.6</v>
      </c>
      <c r="D13" s="12" t="n">
        <v>0.4763157894736842</v>
      </c>
      <c r="E13" s="34" t="n">
        <v>18100</v>
      </c>
      <c r="F13" s="35" t="inlineStr">
        <is>
          <t>🟢 OTTIMO</t>
        </is>
      </c>
    </row>
  </sheetData>
  <mergeCells count="2">
    <mergeCell ref="A1:F1"/>
    <mergeCell ref="A2:F2"/>
  </mergeCells>
  <pageMargins left="0.75" right="0.75" top="1" bottom="1" header="0.5" footer="0.5"/>
  <pageSetup orientation="landscape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pane xSplit="1" ySplit="11" topLeftCell="B1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32" customWidth="1" min="2" max="2"/>
    <col width="18" customWidth="1" min="3" max="3"/>
    <col width="18" customWidth="1" min="4" max="4"/>
    <col width="18" customWidth="1" min="5" max="5"/>
    <col width="18" customWidth="1" min="6" max="6"/>
    <col width="20" customWidth="1" min="7" max="7"/>
  </cols>
  <sheetData>
    <row r="1" ht="38" customHeight="1">
      <c r="A1" s="36" t="inlineStr">
        <is>
          <t>SIMULAZIONE WHAT-IF — ANALISI DI SENSIBILITÀ AL MARGINE</t>
        </is>
      </c>
    </row>
    <row r="2" ht="18" customHeight="1">
      <c r="A2" s="3" t="inlineStr">
        <is>
          <t>Modifica i parametri evidenziati in giallo per simulare scenari alternativi — 11/04/2026</t>
        </is>
      </c>
    </row>
    <row r="3" ht="25" customHeight="1">
      <c r="A3" s="32" t="inlineStr">
        <is>
          <t>⚙️  PARAMETRI DI SIMULAZIONE</t>
        </is>
      </c>
    </row>
    <row r="4" ht="22" customHeight="1">
      <c r="A4" s="22" t="inlineStr">
        <is>
          <t>Variazione Ricavi (%)</t>
        </is>
      </c>
      <c r="B4" s="23" t="n"/>
      <c r="C4" s="37" t="n">
        <v>0.1</v>
      </c>
      <c r="D4" s="25" t="inlineStr">
        <is>
          <t>Incremento/decremento percentuale sui ricavi</t>
        </is>
      </c>
      <c r="E4" s="26" t="n"/>
      <c r="F4" s="26" t="n"/>
      <c r="G4" s="26" t="n"/>
    </row>
    <row r="5" ht="22" customHeight="1">
      <c r="A5" s="27" t="inlineStr">
        <is>
          <t>Variazione Costo del Venduto (%)</t>
        </is>
      </c>
      <c r="B5" s="23" t="n"/>
      <c r="C5" s="37" t="n">
        <v>-0.05</v>
      </c>
      <c r="D5" s="28" t="inlineStr">
        <is>
          <t>Riduzione target sui costi diretti</t>
        </is>
      </c>
      <c r="E5" s="29" t="n"/>
      <c r="F5" s="29" t="n"/>
      <c r="G5" s="29" t="n"/>
    </row>
    <row r="6" ht="22" customHeight="1">
      <c r="A6" s="22" t="inlineStr">
        <is>
          <t>Variazione Costi Fissi (%)</t>
        </is>
      </c>
      <c r="B6" s="23" t="n"/>
      <c r="C6" s="37" t="n">
        <v>-0.03</v>
      </c>
      <c r="D6" s="25" t="inlineStr">
        <is>
          <t>Piano di ottimizzazione costi strutturali</t>
        </is>
      </c>
      <c r="E6" s="26" t="n"/>
      <c r="F6" s="26" t="n"/>
      <c r="G6" s="26" t="n"/>
    </row>
    <row r="7" ht="22" customHeight="1">
      <c r="A7" s="27" t="inlineStr">
        <is>
          <t>Variazione Costi Variabili (%)</t>
        </is>
      </c>
      <c r="B7" s="23" t="n"/>
      <c r="C7" s="37" t="n">
        <v>-0.08</v>
      </c>
      <c r="D7" s="28" t="inlineStr">
        <is>
          <t>Efficienza operativa sui costi variabili</t>
        </is>
      </c>
      <c r="E7" s="29" t="n"/>
      <c r="F7" s="29" t="n"/>
      <c r="G7" s="29" t="n"/>
    </row>
    <row r="8" ht="22" customHeight="1">
      <c r="A8" s="22" t="inlineStr">
        <is>
          <t>Aliquota IVA applicata (%)</t>
        </is>
      </c>
      <c r="B8" s="23" t="n"/>
      <c r="C8" s="37" t="n">
        <v>0.22</v>
      </c>
      <c r="D8" s="25" t="inlineStr">
        <is>
          <t>22% standard | 10% ridotta | 4% agevolata</t>
        </is>
      </c>
      <c r="E8" s="26" t="n"/>
      <c r="F8" s="26" t="n"/>
      <c r="G8" s="26" t="n"/>
    </row>
    <row r="9" ht="8" customHeight="1">
      <c r="A9" s="19" t="inlineStr"/>
    </row>
    <row r="10" ht="25" customHeight="1">
      <c r="A10" s="32" t="inlineStr">
        <is>
          <t>📈  RISULTATI SIMULAZIONE — CONFRONTO SCENARIO BASE vs SCENARIO SIMULATO</t>
        </is>
      </c>
    </row>
    <row r="11" ht="32" customHeight="1">
      <c r="A11" s="8" t="inlineStr">
        <is>
          <t>#</t>
        </is>
      </c>
      <c r="B11" s="8" t="inlineStr">
        <is>
          <t>PRODOTTO / SERVIZIO</t>
        </is>
      </c>
      <c r="C11" s="8" t="inlineStr">
        <is>
          <t>RICAVO BASE (€)</t>
        </is>
      </c>
      <c r="D11" s="8" t="inlineStr">
        <is>
          <t>RICAVO SIMULATO (€)</t>
        </is>
      </c>
      <c r="E11" s="8" t="inlineStr">
        <is>
          <t>MN BASE %</t>
        </is>
      </c>
      <c r="F11" s="8" t="inlineStr">
        <is>
          <t>MN SIMULATO %</t>
        </is>
      </c>
      <c r="G11" s="8" t="inlineStr">
        <is>
          <t>VARIAZIONE MN</t>
        </is>
      </c>
    </row>
    <row r="12" ht="22" customHeight="1">
      <c r="A12" s="21" t="n">
        <v>1</v>
      </c>
      <c r="B12" s="10" t="inlineStr">
        <is>
          <t>Consulenza IT — Pacchetto Base</t>
        </is>
      </c>
      <c r="C12" s="38" t="n">
        <v>12000</v>
      </c>
      <c r="D12" s="34">
        <f>12000*(1+C4)</f>
        <v/>
      </c>
      <c r="E12" s="39" t="n">
        <v>0.4583333333333333</v>
      </c>
      <c r="F12" s="12">
        <f>IF(12000*(1+C4)&gt;0,(12000*(1+C4)-4500*(1+C5)-1200*(1+C6)-800*(1+C7))/(12000*(1+C4)),0)</f>
        <v/>
      </c>
      <c r="G12" s="40">
        <f>F12-E12</f>
        <v/>
      </c>
    </row>
    <row r="13" ht="22" customHeight="1">
      <c r="A13" s="21" t="n">
        <v>2</v>
      </c>
      <c r="B13" s="14" t="inlineStr">
        <is>
          <t>Consulenza IT — Pacchetto Premium</t>
        </is>
      </c>
      <c r="C13" s="41" t="n">
        <v>28000</v>
      </c>
      <c r="D13" s="34">
        <f>28000*(1+C4)</f>
        <v/>
      </c>
      <c r="E13" s="42" t="n">
        <v>0.525</v>
      </c>
      <c r="F13" s="12">
        <f>IF(28000*(1+C4)&gt;0,(28000*(1+C4)-9800*(1+C5)-2100*(1+C6)-1400*(1+C7))/(28000*(1+C4)),0)</f>
        <v/>
      </c>
      <c r="G13" s="40">
        <f>F13-E13</f>
        <v/>
      </c>
    </row>
    <row r="14" ht="22" customHeight="1">
      <c r="A14" s="21" t="n">
        <v>3</v>
      </c>
      <c r="B14" s="10" t="inlineStr">
        <is>
          <t>Sviluppo Software Personalizzato</t>
        </is>
      </c>
      <c r="C14" s="38" t="n">
        <v>45000</v>
      </c>
      <c r="D14" s="34">
        <f>45000*(1+C4)</f>
        <v/>
      </c>
      <c r="E14" s="39" t="n">
        <v>0.4622222222222222</v>
      </c>
      <c r="F14" s="12">
        <f>IF(45000*(1+C4)&gt;0,(45000*(1+C4)-18500*(1+C5)-3500*(1+C6)-2200*(1+C7))/(45000*(1+C4)),0)</f>
        <v/>
      </c>
      <c r="G14" s="40">
        <f>F14-E14</f>
        <v/>
      </c>
    </row>
    <row r="15" ht="22" customHeight="1">
      <c r="A15" s="21" t="n">
        <v>4</v>
      </c>
      <c r="B15" s="14" t="inlineStr">
        <is>
          <t>Manutenzione e Assistenza</t>
        </is>
      </c>
      <c r="C15" s="41" t="n">
        <v>8500</v>
      </c>
      <c r="D15" s="34">
        <f>8500*(1+C4)</f>
        <v/>
      </c>
      <c r="E15" s="42" t="n">
        <v>0.4941176470588236</v>
      </c>
      <c r="F15" s="12">
        <f>IF(8500*(1+C4)&gt;0,(8500*(1+C4)-2800*(1+C5)-900*(1+C6)-600*(1+C7))/(8500*(1+C4)),0)</f>
        <v/>
      </c>
      <c r="G15" s="40">
        <f>F15-E15</f>
        <v/>
      </c>
    </row>
    <row r="16" ht="22" customHeight="1">
      <c r="A16" s="21" t="n">
        <v>5</v>
      </c>
      <c r="B16" s="10" t="inlineStr">
        <is>
          <t>Formazione Aziendale</t>
        </is>
      </c>
      <c r="C16" s="38" t="n">
        <v>15000</v>
      </c>
      <c r="D16" s="34">
        <f>15000*(1+C4)</f>
        <v/>
      </c>
      <c r="E16" s="39" t="n">
        <v>0.49</v>
      </c>
      <c r="F16" s="12">
        <f>IF(15000*(1+C4)&gt;0,(15000*(1+C4)-5200*(1+C5)-1500*(1+C6)-950*(1+C7))/(15000*(1+C4)),0)</f>
        <v/>
      </c>
      <c r="G16" s="40">
        <f>F16-E16</f>
        <v/>
      </c>
    </row>
    <row r="17" ht="22" customHeight="1">
      <c r="A17" s="21" t="n">
        <v>6</v>
      </c>
      <c r="B17" s="14" t="inlineStr">
        <is>
          <t>Analisi e Reportistica</t>
        </is>
      </c>
      <c r="C17" s="41" t="n">
        <v>9200</v>
      </c>
      <c r="D17" s="34">
        <f>9200*(1+C4)</f>
        <v/>
      </c>
      <c r="E17" s="42" t="n">
        <v>0.5163043478260869</v>
      </c>
      <c r="F17" s="12">
        <f>IF(9200*(1+C4)&gt;0,(9200*(1+C4)-3100*(1+C5)-800*(1+C6)-550*(1+C7))/(9200*(1+C4)),0)</f>
        <v/>
      </c>
      <c r="G17" s="40">
        <f>F17-E17</f>
        <v/>
      </c>
    </row>
    <row r="18" ht="22" customHeight="1">
      <c r="A18" s="21" t="n">
        <v>7</v>
      </c>
      <c r="B18" s="10" t="inlineStr">
        <is>
          <t>Cloud Services — Hosting</t>
        </is>
      </c>
      <c r="C18" s="38" t="n">
        <v>22000</v>
      </c>
      <c r="D18" s="34">
        <f>22000*(1+C4)</f>
        <v/>
      </c>
      <c r="E18" s="39" t="n">
        <v>0.3636363636363636</v>
      </c>
      <c r="F18" s="12">
        <f>IF(22000*(1+C4)&gt;0,(22000*(1+C4)-11000*(1+C5)-1800*(1+C6)-1200*(1+C7))/(22000*(1+C4)),0)</f>
        <v/>
      </c>
      <c r="G18" s="40">
        <f>F18-E18</f>
        <v/>
      </c>
    </row>
    <row r="19" ht="22" customHeight="1">
      <c r="A19" s="21" t="n">
        <v>8</v>
      </c>
      <c r="B19" s="14" t="inlineStr">
        <is>
          <t>Licenze Software Rivendita</t>
        </is>
      </c>
      <c r="C19" s="41" t="n">
        <v>18500</v>
      </c>
      <c r="D19" s="34">
        <f>18500*(1+C4)</f>
        <v/>
      </c>
      <c r="E19" s="42" t="n">
        <v>0.2</v>
      </c>
      <c r="F19" s="12">
        <f>IF(18500*(1+C4)&gt;0,(18500*(1+C4)-13800*(1+C5)-600*(1+C6)-400*(1+C7))/(18500*(1+C4)),0)</f>
        <v/>
      </c>
      <c r="G19" s="40">
        <f>F19-E19</f>
        <v/>
      </c>
    </row>
    <row r="20" ht="22" customHeight="1">
      <c r="A20" s="21" t="n">
        <v>9</v>
      </c>
      <c r="B20" s="10" t="inlineStr">
        <is>
          <t>Progettazione UX/UI</t>
        </is>
      </c>
      <c r="C20" s="38" t="n">
        <v>11000</v>
      </c>
      <c r="D20" s="34">
        <f>11000*(1+C4)</f>
        <v/>
      </c>
      <c r="E20" s="39" t="n">
        <v>0.4863636363636364</v>
      </c>
      <c r="F20" s="12">
        <f>IF(11000*(1+C4)&gt;0,(11000*(1+C4)-3800*(1+C5)-1100*(1+C6)-750*(1+C7))/(11000*(1+C4)),0)</f>
        <v/>
      </c>
      <c r="G20" s="40">
        <f>F20-E20</f>
        <v/>
      </c>
    </row>
    <row r="21" ht="22" customHeight="1">
      <c r="A21" s="21" t="n">
        <v>10</v>
      </c>
      <c r="B21" s="14" t="inlineStr">
        <is>
          <t>Integrazione Sistemi ERP</t>
        </is>
      </c>
      <c r="C21" s="41" t="n">
        <v>38000</v>
      </c>
      <c r="D21" s="34">
        <f>38000*(1+C4)</f>
        <v/>
      </c>
      <c r="E21" s="42" t="n">
        <v>0.4763157894736842</v>
      </c>
      <c r="F21" s="12">
        <f>IF(38000*(1+C4)&gt;0,(38000*(1+C4)-15200*(1+C5)-2800*(1+C6)-1900*(1+C7))/(38000*(1+C4)),0)</f>
        <v/>
      </c>
      <c r="G21" s="40">
        <f>F21-E21</f>
        <v/>
      </c>
    </row>
    <row r="22" ht="28" customHeight="1">
      <c r="A22" s="16" t="inlineStr">
        <is>
          <t>TOTALE SIMULAZIONE</t>
        </is>
      </c>
      <c r="B22" s="43" t="n"/>
      <c r="C22" s="17">
        <f>SUM(C12:C21)</f>
        <v/>
      </c>
      <c r="D22" s="17">
        <f>SUM(D12:D21)</f>
        <v/>
      </c>
      <c r="E22" s="18">
        <f>IFERROR(AVERAGE(E12:E21),0)</f>
        <v/>
      </c>
      <c r="F22" s="18">
        <f>IFERROR(AVERAGE(F12:F21),0)</f>
        <v/>
      </c>
      <c r="G22" s="18">
        <f>F22-E22</f>
        <v/>
      </c>
    </row>
  </sheetData>
  <mergeCells count="16">
    <mergeCell ref="A1:G1"/>
    <mergeCell ref="A2:G2"/>
    <mergeCell ref="A3:G3"/>
    <mergeCell ref="A4:B4"/>
    <mergeCell ref="D4:G4"/>
    <mergeCell ref="A5:B5"/>
    <mergeCell ref="D5:G5"/>
    <mergeCell ref="A6:B6"/>
    <mergeCell ref="D6:G6"/>
    <mergeCell ref="A7:B7"/>
    <mergeCell ref="D7:G7"/>
    <mergeCell ref="A8:B8"/>
    <mergeCell ref="D8:G8"/>
    <mergeCell ref="A9:G9"/>
    <mergeCell ref="A10:G10"/>
    <mergeCell ref="A22:B22"/>
  </mergeCells>
  <conditionalFormatting sqref="G12:G21">
    <cfRule type="expression" priority="1" dxfId="0">
      <formula>G12&gt;0</formula>
    </cfRule>
    <cfRule type="expression" priority="2" dxfId="1">
      <formula>G12&lt;0</formula>
    </cfRule>
  </conditionalFormatting>
  <dataValidations count="1">
    <dataValidation sqref="C8" showErrorMessage="1" showInputMessage="1" allowBlank="0" type="list">
      <formula1>"0.22,0.10,0.05,0.04"</formula1>
    </dataValidation>
  </dataValidations>
  <pageMargins left="0.75" right="0.75" top="1" bottom="1" header="0.5" footer="0.5"/>
  <pageSetup orientation="landscape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5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5" customWidth="1" min="2" max="2"/>
    <col width="22" customWidth="1" min="3" max="3"/>
    <col width="35" customWidth="1" min="4" max="4"/>
  </cols>
  <sheetData>
    <row r="1" ht="35" customHeight="1">
      <c r="A1" s="44" t="inlineStr">
        <is>
          <t>PARAMETRI GLOBALI E RIFERIMENTI NORMATIVI</t>
        </is>
      </c>
    </row>
    <row r="2" ht="28" customHeight="1">
      <c r="A2" s="8" t="inlineStr">
        <is>
          <t>#</t>
        </is>
      </c>
      <c r="B2" s="8" t="inlineStr">
        <is>
          <t>PARAMETRO</t>
        </is>
      </c>
      <c r="C2" s="8" t="inlineStr">
        <is>
          <t>VALORE</t>
        </is>
      </c>
      <c r="D2" s="8" t="inlineStr">
        <is>
          <t>RIFERIMENTO NORMATIVO / NOTE</t>
        </is>
      </c>
    </row>
    <row r="3" ht="22" customHeight="1">
      <c r="A3" s="45" t="n">
        <v>1</v>
      </c>
      <c r="B3" s="22" t="inlineStr">
        <is>
          <t>Aliquota IVA Ordinaria</t>
        </is>
      </c>
      <c r="C3" s="46" t="inlineStr">
        <is>
          <t>22%</t>
        </is>
      </c>
      <c r="D3" s="10" t="inlineStr">
        <is>
          <t>Art. 16 DPR 633/1972 — aliquota standard</t>
        </is>
      </c>
    </row>
    <row r="4" ht="22" customHeight="1">
      <c r="A4" s="47" t="n">
        <v>2</v>
      </c>
      <c r="B4" s="27" t="inlineStr">
        <is>
          <t>Aliquota IVA Ridotta</t>
        </is>
      </c>
      <c r="C4" s="46" t="inlineStr">
        <is>
          <t>10%</t>
        </is>
      </c>
      <c r="D4" s="14" t="inlineStr">
        <is>
          <t>Tabella A parte III allegata al DPR 633/1972</t>
        </is>
      </c>
    </row>
    <row r="5" ht="22" customHeight="1">
      <c r="A5" s="45" t="n">
        <v>3</v>
      </c>
      <c r="B5" s="22" t="inlineStr">
        <is>
          <t>Aliquota IVA Super-ridotta</t>
        </is>
      </c>
      <c r="C5" s="46" t="inlineStr">
        <is>
          <t>5%</t>
        </is>
      </c>
      <c r="D5" s="10" t="inlineStr">
        <is>
          <t>Legge di Bilancio — beni prima necessità</t>
        </is>
      </c>
    </row>
    <row r="6" ht="22" customHeight="1">
      <c r="A6" s="47" t="n">
        <v>4</v>
      </c>
      <c r="B6" s="27" t="inlineStr">
        <is>
          <t>Aliquota IVA Agevolata</t>
        </is>
      </c>
      <c r="C6" s="46" t="inlineStr">
        <is>
          <t>4%</t>
        </is>
      </c>
      <c r="D6" s="14" t="inlineStr">
        <is>
          <t>Tabella A parte II — beni e servizi agevolati</t>
        </is>
      </c>
    </row>
    <row r="7" ht="22" customHeight="1">
      <c r="A7" s="45" t="n">
        <v>5</v>
      </c>
      <c r="B7" s="22" t="inlineStr">
        <is>
          <t>Contributi INPS Artigiani/Comm.</t>
        </is>
      </c>
      <c r="C7" s="46" t="inlineStr">
        <is>
          <t>24%</t>
        </is>
      </c>
      <c r="D7" s="10" t="inlineStr">
        <is>
          <t>Gestione separata INPS — Circ. INPS 15/2024</t>
        </is>
      </c>
    </row>
    <row r="8" ht="22" customHeight="1">
      <c r="A8" s="47" t="n">
        <v>6</v>
      </c>
      <c r="B8" s="27" t="inlineStr">
        <is>
          <t>Contributi INPS Gestione Separata</t>
        </is>
      </c>
      <c r="C8" s="46" t="inlineStr">
        <is>
          <t>26,23%</t>
        </is>
      </c>
      <c r="D8" s="14" t="inlineStr">
        <is>
          <t>Lavoratori autonomi senza altra cassa</t>
        </is>
      </c>
    </row>
    <row r="9" ht="22" customHeight="1">
      <c r="A9" s="45" t="n">
        <v>7</v>
      </c>
      <c r="B9" s="22" t="inlineStr">
        <is>
          <t>Aliquota IRES (Società)</t>
        </is>
      </c>
      <c r="C9" s="46" t="inlineStr">
        <is>
          <t>24%</t>
        </is>
      </c>
      <c r="D9" s="10" t="inlineStr">
        <is>
          <t>Art. 77 TUIR — DPR 917/1986</t>
        </is>
      </c>
    </row>
    <row r="10" ht="22" customHeight="1">
      <c r="A10" s="47" t="n">
        <v>8</v>
      </c>
      <c r="B10" s="27" t="inlineStr">
        <is>
          <t>Aliquota IRAP</t>
        </is>
      </c>
      <c r="C10" s="46" t="inlineStr">
        <is>
          <t>3,9%</t>
        </is>
      </c>
      <c r="D10" s="14" t="inlineStr">
        <is>
          <t>D.Lgs. 446/1997 — può variare per regione</t>
        </is>
      </c>
    </row>
    <row r="11" ht="22" customHeight="1">
      <c r="A11" s="45" t="n">
        <v>9</v>
      </c>
      <c r="B11" s="22" t="inlineStr">
        <is>
          <t>Regime Forfettario — Coefficiente</t>
        </is>
      </c>
      <c r="C11" s="46" t="inlineStr">
        <is>
          <t>40%-86%</t>
        </is>
      </c>
      <c r="D11" s="10" t="inlineStr">
        <is>
          <t>Legge 190/2014 — varia per categoria ATECO</t>
        </is>
      </c>
    </row>
    <row r="12" ht="22" customHeight="1">
      <c r="A12" s="47" t="n">
        <v>10</v>
      </c>
      <c r="B12" s="27" t="inlineStr">
        <is>
          <t>Imposta Sostitutiva Forfettari</t>
        </is>
      </c>
      <c r="C12" s="46" t="inlineStr">
        <is>
          <t>15% / 5%</t>
        </is>
      </c>
      <c r="D12" s="14" t="inlineStr">
        <is>
          <t>5% per primi 5 anni di attività</t>
        </is>
      </c>
    </row>
    <row r="13" ht="22" customHeight="1">
      <c r="A13" s="45" t="n">
        <v>11</v>
      </c>
      <c r="B13" s="22" t="inlineStr">
        <is>
          <t>Soglia Fatturato Forfettario</t>
        </is>
      </c>
      <c r="C13" s="46" t="inlineStr">
        <is>
          <t>85.000 €</t>
        </is>
      </c>
      <c r="D13" s="10" t="inlineStr">
        <is>
          <t>Limite annuo per accesso al regime</t>
        </is>
      </c>
    </row>
    <row r="14" ht="22" customHeight="1">
      <c r="A14" s="47" t="n">
        <v>12</v>
      </c>
      <c r="B14" s="27" t="inlineStr">
        <is>
          <t>TFR — Aliquota Accantonamento</t>
        </is>
      </c>
      <c r="C14" s="46" t="inlineStr">
        <is>
          <t>6,91%</t>
        </is>
      </c>
      <c r="D14" s="14" t="inlineStr">
        <is>
          <t>Art. 2120 c.c. — retribuzione annua / 13,5</t>
        </is>
      </c>
    </row>
    <row r="15" ht="22" customHeight="1">
      <c r="A15" s="45" t="n">
        <v>13</v>
      </c>
      <c r="B15" s="22" t="inlineStr">
        <is>
          <t>Benchmark Margine Lordo IT</t>
        </is>
      </c>
      <c r="C15" s="46" t="inlineStr">
        <is>
          <t>40%-60%</t>
        </is>
      </c>
      <c r="D15" s="10" t="inlineStr">
        <is>
          <t>Settore servizi/consulenza — media di mercato</t>
        </is>
      </c>
    </row>
    <row r="16" ht="22" customHeight="1">
      <c r="A16" s="47" t="n">
        <v>14</v>
      </c>
      <c r="B16" s="27" t="inlineStr">
        <is>
          <t>Benchmark Margine Netto IT</t>
        </is>
      </c>
      <c r="C16" s="46" t="inlineStr">
        <is>
          <t>10%-20%</t>
        </is>
      </c>
      <c r="D16" s="14" t="inlineStr">
        <is>
          <t>PMI italiane — dati Banca d'Italia</t>
        </is>
      </c>
    </row>
    <row r="17" ht="22" customHeight="1">
      <c r="A17" s="45" t="n">
        <v>15</v>
      </c>
      <c r="B17" s="22" t="inlineStr">
        <is>
          <t>Break-Even: Formula</t>
        </is>
      </c>
      <c r="C17" s="46" t="inlineStr">
        <is>
          <t>CF / (1 - CDV%)</t>
        </is>
      </c>
      <c r="D17" s="10" t="inlineStr">
        <is>
          <t>Costi Fissi / (1 - percentuale costo variabile)</t>
        </is>
      </c>
    </row>
    <row r="19" ht="8" customHeight="1">
      <c r="A19" s="19" t="inlineStr"/>
    </row>
    <row r="20" ht="25" customHeight="1">
      <c r="A20" s="32" t="inlineStr">
        <is>
          <t>FORMULA DEL MARGINE — SCHEMA RIEPILOGATIVO</t>
        </is>
      </c>
    </row>
    <row r="21" ht="22" customHeight="1">
      <c r="A21" s="21" t="inlineStr">
        <is>
          <t>Margine Lordo %</t>
        </is>
      </c>
      <c r="B21" s="48">
        <f> (Ricavo - Costo del Venduto) / Ricavo × 100</f>
        <v/>
      </c>
      <c r="C21" s="23" t="n"/>
      <c r="D21" s="25" t="inlineStr">
        <is>
          <t>Misura l'efficienza produttiva</t>
        </is>
      </c>
    </row>
    <row r="22" ht="22" customHeight="1">
      <c r="A22" s="21" t="inlineStr">
        <is>
          <t>Margine Netto %</t>
        </is>
      </c>
      <c r="B22" s="48">
        <f> (Ricavo - CDV - Costi Fissi - Costi Variabili) / Ricavo × 100</f>
        <v/>
      </c>
      <c r="C22" s="23" t="n"/>
      <c r="D22" s="28" t="inlineStr">
        <is>
          <t>Redditività finale dopo tutti i costi</t>
        </is>
      </c>
    </row>
    <row r="23" ht="22" customHeight="1">
      <c r="A23" s="21" t="inlineStr">
        <is>
          <t>EBITDA Margin</t>
        </is>
      </c>
      <c r="B23" s="48">
        <f> (Utile + Ammortamenti + Svalutazioni) / Ricavo × 100</f>
        <v/>
      </c>
      <c r="C23" s="23" t="n"/>
      <c r="D23" s="25" t="inlineStr">
        <is>
          <t>Prima di interessi, tasse e ammortamenti</t>
        </is>
      </c>
    </row>
    <row r="24" ht="22" customHeight="1">
      <c r="A24" s="21" t="inlineStr">
        <is>
          <t>Return on Sales</t>
        </is>
      </c>
      <c r="B24" s="48">
        <f> Utile Operativo / Ricavo Netto × 100</f>
        <v/>
      </c>
      <c r="C24" s="23" t="n"/>
      <c r="D24" s="28" t="inlineStr">
        <is>
          <t>Efficienza commerciale dell'impresa</t>
        </is>
      </c>
    </row>
    <row r="25" ht="22" customHeight="1">
      <c r="A25" s="21" t="inlineStr">
        <is>
          <t>Break-Even Point</t>
        </is>
      </c>
      <c r="B25" s="48">
        <f> Costi Fissi / (1 - Costi Variabili / Ricavo)</f>
        <v/>
      </c>
      <c r="C25" s="23" t="n"/>
      <c r="D25" s="25" t="inlineStr">
        <is>
          <t>Livello minimo di ricavi per coprire i costi</t>
        </is>
      </c>
    </row>
  </sheetData>
  <mergeCells count="8">
    <mergeCell ref="A1:D1"/>
    <mergeCell ref="A19:D19"/>
    <mergeCell ref="A20:D20"/>
    <mergeCell ref="B21:C21"/>
    <mergeCell ref="B22:C22"/>
    <mergeCell ref="B23:C23"/>
    <mergeCell ref="B24:C24"/>
    <mergeCell ref="B25:C25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3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5" customWidth="1" min="2" max="2"/>
    <col width="60" customWidth="1" min="3" max="3"/>
  </cols>
  <sheetData>
    <row r="1" ht="38" customHeight="1">
      <c r="A1" s="36" t="inlineStr">
        <is>
          <t>GUIDA ALL'UTILIZZO — CALCOLO MARGINE DI PROFITTO</t>
        </is>
      </c>
    </row>
    <row r="2" ht="18" customHeight="1">
      <c r="A2" s="3" t="inlineStr">
        <is>
          <t>Versione 1.0 — Generato il 11/04/2026 | Strumento professionale per PMI italiane</t>
        </is>
      </c>
    </row>
    <row r="3" ht="25" customHeight="1">
      <c r="A3" s="32" t="inlineStr">
        <is>
          <t>FOGLIO 1 — Calcolo Margine</t>
        </is>
      </c>
    </row>
    <row r="4" ht="40" customHeight="1">
      <c r="A4" s="49" t="n"/>
      <c r="B4" s="22" t="inlineStr">
        <is>
          <t>Inserimento dati</t>
        </is>
      </c>
      <c r="C4" s="10" t="inlineStr">
        <is>
          <t>Compilare le colonne C, D, E, F (celle gialle) con i valori di Ricavo Netto, Costo del Venduto, Costi Fissi e Costi Variabili. Tutti i valori devono essere IVA ESCLUSA (imponibile).</t>
        </is>
      </c>
    </row>
    <row r="5" ht="40" customHeight="1">
      <c r="A5" s="49" t="n"/>
      <c r="B5" s="27" t="inlineStr">
        <is>
          <t>Calcolo automatico</t>
        </is>
      </c>
      <c r="C5" s="14" t="inlineStr">
        <is>
          <t>Le colonne G (Margine Lordo %) e H (Margine Netto %) si aggiornano automaticamente. La colonna I mostra l'indicatore di performance qualitativa.</t>
        </is>
      </c>
    </row>
    <row r="6" ht="40" customHeight="1">
      <c r="A6" s="49" t="n"/>
      <c r="B6" s="22" t="inlineStr">
        <is>
          <t>Riga Totale</t>
        </is>
      </c>
      <c r="C6" s="10" t="inlineStr">
        <is>
          <t>La riga 16 riepiloga i totali e calcola i margini complessivi del portafoglio prodotti.</t>
        </is>
      </c>
    </row>
    <row r="7" ht="40" customHeight="1">
      <c r="A7" s="49" t="n"/>
      <c r="B7" s="27" t="inlineStr">
        <is>
          <t>KPI Section</t>
        </is>
      </c>
      <c r="C7" s="14" t="inlineStr">
        <is>
          <t>Dalla riga 18, vengono calcolati automaticamente i principali indicatori: Utile Lordo, Utile Netto, Break-Even Point e Leva Operativa.</t>
        </is>
      </c>
    </row>
    <row r="8" ht="8" customHeight="1">
      <c r="A8" s="19" t="n"/>
    </row>
    <row r="9" ht="25" customHeight="1">
      <c r="A9" s="32" t="inlineStr">
        <is>
          <t>FOGLIO 2 — Analisi per Prodotto</t>
        </is>
      </c>
    </row>
    <row r="10" ht="40" customHeight="1">
      <c r="A10" s="49" t="n"/>
      <c r="B10" s="22" t="inlineStr">
        <is>
          <t>Grafico comparativo</t>
        </is>
      </c>
      <c r="C10" s="10" t="inlineStr">
        <is>
          <t>Il grafico a barre mostra il confronto visivo tra Margine Lordo e Margine Netto per ciascun prodotto/servizio.</t>
        </is>
      </c>
    </row>
    <row r="11" ht="40" customHeight="1">
      <c r="A11" s="49" t="n"/>
      <c r="B11" s="27" t="inlineStr">
        <is>
          <t>Classificazione</t>
        </is>
      </c>
      <c r="C11" s="14" t="inlineStr">
        <is>
          <t>Ogni prodotto viene classificato automaticamente: OTTIMO (≥20%), BUONO (≥10%), BASSO (≥0%), NEGATIVO (&lt;0%).</t>
        </is>
      </c>
    </row>
    <row r="12" ht="8" customHeight="1">
      <c r="A12" s="19" t="n"/>
    </row>
    <row r="13" ht="25" customHeight="1">
      <c r="A13" s="32" t="inlineStr">
        <is>
          <t>FOGLIO 3 — Simulazione What-If</t>
        </is>
      </c>
    </row>
    <row r="14" ht="40" customHeight="1">
      <c r="A14" s="49" t="n"/>
      <c r="B14" s="22" t="inlineStr">
        <is>
          <t>Parametri gialli</t>
        </is>
      </c>
      <c r="C14" s="10" t="inlineStr">
        <is>
          <t>Modificare i valori nelle celle gialle C4:C8 per simulare scenari alternativi (es. aumento ricavi del 15%, riduzione CDV del 10%).</t>
        </is>
      </c>
    </row>
    <row r="15" ht="40" customHeight="1">
      <c r="A15" s="49" t="n"/>
      <c r="B15" s="27" t="inlineStr">
        <is>
          <t>Variazioni %</t>
        </is>
      </c>
      <c r="C15" s="14" t="inlineStr">
        <is>
          <t>Inserire valori positivi per aumenti, valori negativi per riduzioni (es. -0,05 = riduzione del 5%).</t>
        </is>
      </c>
    </row>
    <row r="16" ht="40" customHeight="1">
      <c r="A16" s="49" t="n"/>
      <c r="B16" s="22" t="inlineStr">
        <is>
          <t>Semaforo variazione</t>
        </is>
      </c>
      <c r="C16" s="10" t="inlineStr">
        <is>
          <t>La colonna G mostra in verde le variazioni positive e in rosso quelle negative sul margine netto simulato.</t>
        </is>
      </c>
    </row>
    <row r="17" ht="40" customHeight="1">
      <c r="A17" s="49" t="n"/>
      <c r="B17" s="27" t="inlineStr">
        <is>
          <t>IVA applicata</t>
        </is>
      </c>
      <c r="C17" s="14" t="inlineStr">
        <is>
          <t>La cella C8 riporta l'aliquota IVA applicabile. Verificare sempre che i ricavi inseriti siano al netto dell'IVA (imponibile).</t>
        </is>
      </c>
    </row>
    <row r="18" ht="8" customHeight="1">
      <c r="A18" s="19" t="n"/>
    </row>
    <row r="19" ht="25" customHeight="1">
      <c r="A19" s="32" t="inlineStr">
        <is>
          <t>FOGLIO 4 — Parametri</t>
        </is>
      </c>
    </row>
    <row r="20" ht="40" customHeight="1">
      <c r="A20" s="49" t="n"/>
      <c r="B20" s="22" t="inlineStr">
        <is>
          <t>Riferimenti normativi</t>
        </is>
      </c>
      <c r="C20" s="10" t="inlineStr">
        <is>
          <t>Contiene le aliquote fiscali aggiornate: IVA (22%, 10%, 5%, 4%), INPS, IRES, IRAP, regime forfettario.</t>
        </is>
      </c>
    </row>
    <row r="21" ht="40" customHeight="1">
      <c r="A21" s="49" t="n"/>
      <c r="B21" s="27" t="inlineStr">
        <is>
          <t>Formule gestionali</t>
        </is>
      </c>
      <c r="C21" s="14" t="inlineStr">
        <is>
          <t>Schema delle formule di margine con riferimenti a prassi aziendali italiane e benchmark di settore.</t>
        </is>
      </c>
    </row>
    <row r="22" ht="40" customHeight="1">
      <c r="A22" s="49" t="n"/>
      <c r="B22" s="22" t="inlineStr">
        <is>
          <t>Aggiornamento</t>
        </is>
      </c>
      <c r="C22" s="10" t="inlineStr">
        <is>
          <t>Aggiornare i valori in questo foglio in caso di variazioni normative (es. nuova aliquota INPS da circolare).</t>
        </is>
      </c>
    </row>
    <row r="23" ht="8" customHeight="1">
      <c r="A23" s="19" t="n"/>
    </row>
    <row r="24" ht="25" customHeight="1">
      <c r="A24" s="32" t="inlineStr">
        <is>
          <t>NOTE FISCALI E NORMATIVE</t>
        </is>
      </c>
    </row>
    <row r="25" ht="40" customHeight="1">
      <c r="A25" s="49" t="n"/>
      <c r="B25" s="27" t="inlineStr">
        <is>
          <t>IVA ed imponibile</t>
        </is>
      </c>
      <c r="C25" s="14" t="inlineStr">
        <is>
          <t>Tutti i ricavi devono essere inseriti al netto dell'IVA (imponibile). L'IVA non è un ricavo dell'impresa ma un debito verso l'Erario.</t>
        </is>
      </c>
    </row>
    <row r="26" ht="40" customHeight="1">
      <c r="A26" s="49" t="n"/>
      <c r="B26" s="22" t="inlineStr">
        <is>
          <t>Fatturazione elettronica</t>
        </is>
      </c>
      <c r="C26" s="10" t="inlineStr">
        <is>
          <t>Dal 01/01/2019 (D.Lgs. 127/2015) è obbligatoria per tutte le operazioni B2B e B2C tramite Sistema di Interscambio (SDI).</t>
        </is>
      </c>
    </row>
    <row r="27" ht="40" customHeight="1">
      <c r="A27" s="49" t="n"/>
      <c r="B27" s="27" t="inlineStr">
        <is>
          <t>Codice fiscale / P.IVA</t>
        </is>
      </c>
      <c r="C27" s="14" t="inlineStr">
        <is>
          <t>Verificare la correttezza di CF e P.IVA del committente prima di emettere fattura. Validazione disponibile su portale Agenzia Entrate.</t>
        </is>
      </c>
    </row>
    <row r="28" ht="40" customHeight="1">
      <c r="A28" s="49" t="n"/>
      <c r="B28" s="22" t="inlineStr">
        <is>
          <t>Conservazione documenti</t>
        </is>
      </c>
      <c r="C28" s="10" t="inlineStr">
        <is>
          <t>Le fatture elettroniche devono essere conservate digitalmente per 10 anni (art. 2220 c.c. e art. 43 DPR 600/1973).</t>
        </is>
      </c>
    </row>
    <row r="29" ht="40" customHeight="1">
      <c r="A29" s="49" t="n"/>
      <c r="B29" s="27" t="inlineStr">
        <is>
          <t>DURC e appalti</t>
        </is>
      </c>
      <c r="C29" s="14" t="inlineStr">
        <is>
          <t>In caso di subappalto, verificare la regolarità contributiva del fornitore tramite DURC online prima di ogni pagamento.</t>
        </is>
      </c>
    </row>
    <row r="30" ht="8" customHeight="1">
      <c r="A30" s="19" t="n"/>
    </row>
  </sheetData>
  <mergeCells count="12">
    <mergeCell ref="A1:C1"/>
    <mergeCell ref="A2:C2"/>
    <mergeCell ref="A3:C3"/>
    <mergeCell ref="A8:C8"/>
    <mergeCell ref="A9:C9"/>
    <mergeCell ref="A12:C12"/>
    <mergeCell ref="A13:C13"/>
    <mergeCell ref="A18:C18"/>
    <mergeCell ref="A19:C19"/>
    <mergeCell ref="A23:C23"/>
    <mergeCell ref="A24:C24"/>
    <mergeCell ref="A30:C3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2026-04-11T19:25:49Z</dcterms:created>
  <dcterms:modified xmlns:dcterms="http://purl.org/dc/terms/" xmlns:xsi="http://www.w3.org/2001/XMLSchema-instance" xsi:type="dcterms:W3CDTF">2026-04-11T19:25:49Z</dcterms:modified>
</cp:coreProperties>
</file>